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<sst xmlns="http://schemas.openxmlformats.org/spreadsheetml/2006/main" count="547" uniqueCount="376">
  <si>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</si>
  <si>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</si>
  <si>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</si>
  <si>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</si>
  <si>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</si>
  <si>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</si>
  <si>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</si>
  <si>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</si>
  <si>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</si>
  <si>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</si>
  <si>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</si>
  <si>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</si>
  <si>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</si>
  <si>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</si>
  <si>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</si>
  <si>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</si>
  <si>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</si>
  <si>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</si>
  <si>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</si>
  <si>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</si>
  <si>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</si>
  <si>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</si>
  <si>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</si>
  <si>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</si>
  <si>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</si>
  <si>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</si>
  <si>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</si>
  <si>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</si>
  <si>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</si>
  <si>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</si>
  <si>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</si>
  <si>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</si>
  <si>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</si>
  <si>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</si>
  <si>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</si>
  <si>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</si>
  <si>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</si>
  <si>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</si>
  <si>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</si>
  <si>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</si>
  <si>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</si>
  <si>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</si>
  <si>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</si>
  <si>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</si>
  <si>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</si>
  <si>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</si>
  <si>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</si>
  <si>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</si>
  <si>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</si>
  <si>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</si>
  <si>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</si>
  <si>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</si>
  <si>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</si>
  <si>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</si>
  <si>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</si>
  <si>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</si>
  <si>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</si>
  <si>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</si>
  <si>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</si>
  <si>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</si>
  <si>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</si>
  <si>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</si>
  <si>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</si>
  <si>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</si>
  <si>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</si>
  <si>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</si>
  <si>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</si>
  <si>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</si>
  <si>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</si>
  <si>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</si>
  <si>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</si>
  <si>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</si>
  <si>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</si>
  <si>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</si>
  <si>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</si>
  <si>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</si>
  <si>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</si>
  <si>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</si>
  <si>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</si>
  <si>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</si>
  <si>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</si>
  <si>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</si>
  <si>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</si>
  <si>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</si>
  <si>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</si>
  <si>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</si>
  <si>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</si>
  <si>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</si>
  <si>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</si>
  <si>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</si>
  <si>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</si>
  <si>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</si>
  <si>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</si>
  <si>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</si>
  <si>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</si>
  <si>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</si>
  <si>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</si>
  <si>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</si>
  <si>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</si>
  <si>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</si>
  <si>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</si>
  <si>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</si>
  <si>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</si>
  <si>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</si>
  <si>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</si>
  <si>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</si>
  <si>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</si>
  <si>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</si>
  <si>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</si>
  <si>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</si>
  <si>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</si>
  <si>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</si>
  <si>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</si>
  <si>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</si>
  <si>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</si>
  <si>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</si>
  <si>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</si>
  <si>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</si>
  <si>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</si>
  <si>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</si>
  <si>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</si>
  <si>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</si>
  <si>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</si>
  <si>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</si>
  <si>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</si>
  <si>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</si>
  <si>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</si>
  <si>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</si>
  <si>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</si>
  <si>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</si>
  <si>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</si>
  <si>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</si>
  <si>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</si>
  <si>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</si>
  <si>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</si>
  <si>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</si>
  <si>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</si>
  <si>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</si>
  <si>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</si>
  <si>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</si>
  <si>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</si>
  <si>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</si>
  <si>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</si>
  <si>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</si>
  <si>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</si>
  <si>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</si>
  <si>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</si>
  <si>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</si>
  <si>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</si>
  <si>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</si>
  <si>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</si>
  <si>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</si>
  <si>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</si>
  <si>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</si>
  <si>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</si>
  <si>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</si>
  <si>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</si>
  <si>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</si>
  <si>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</si>
  <si>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</si>
  <si>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</si>
  <si>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</si>
  <si>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</si>
  <si>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</si>
  <si>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</si>
  <si>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</si>
  <si>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</si>
  <si>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</si>
  <si>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</si>
  <si>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</si>
  <si>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</si>
  <si>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</si>
  <si>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</si>
  <si>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</si>
  <si>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</si>
  <si>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</si>
  <si>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</si>
  <si>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</si>
  <si>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</si>
  <si>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</si>
  <si>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</si>
  <si>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</si>
  <si>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</si>
  <si>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</si>
  <si>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</si>
  <si>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</si>
  <si>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</si>
  <si>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</si>
  <si>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</si>
  <si>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</si>
  <si>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</si>
  <si>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</si>
  <si>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</si>
  <si>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</si>
  <si>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</si>
  <si>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</si>
  <si>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</si>
  <si>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</si>
  <si>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</si>
  <si>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</si>
  <si>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</si>
  <si>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</si>
  <si>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</si>
  <si>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</si>
  <si>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</si>
  <si>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</si>
  <si>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</si>
  <si>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</si>
  <si>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</si>
  <si>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</si>
  <si>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</si>
  <si>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</si>
  <si>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</si>
  <si>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</si>
  <si>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</si>
  <si>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</si>
  <si>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</si>
  <si>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</si>
  <si>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</si>
  <si>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</si>
  <si>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</si>
  <si>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</si>
  <si>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</si>
  <si>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</si>
  <si>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</si>
  <si>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</si>
  <si>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</si>
  <si>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</si>
  <si>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</si>
  <si>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</si>
  <si>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</si>
  <si>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</si>
  <si>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</si>
  <si>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</si>
  <si>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</si>
  <si>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</si>
  <si>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</si>
  <si>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</si>
  <si>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</si>
  <si>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</si>
  <si>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</si>
  <si>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</si>
  <si>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</si>
  <si>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</si>
  <si>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</si>
  <si>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</si>
  <si>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</si>
  <si>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</si>
  <si>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</si>
  <si>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</si>
  <si>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</si>
  <si>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</si>
  <si>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</si>
  <si>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</si>
  <si>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</si>
  <si>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</si>
  <si>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</si>
  <si>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</si>
  <si>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</si>
  <si>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</si>
  <si>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</si>
  <si>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</si>
  <si>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</si>
  <si>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</si>
  <si>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</si>
  <si>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</si>
  <si>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</si>
  <si>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</si>
  <si>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</si>
  <si>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</si>
  <si>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</si>
  <si>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</si>
  <si>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</si>
  <si>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</si>
  <si>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</si>
  <si>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</si>
  <si>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</si>
  <si>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</si>
  <si>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</si>
  <si>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</si>
  <si>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</si>
  <si>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</si>
  <si>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</si>
  <si>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</si>
  <si>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</si>
  <si>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</si>
  <si>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</si>
  <si>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</si>
  <si>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</si>
  <si>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</si>
  <si>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</si>
  <si>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</si>
  <si>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</si>
  <si>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</si>
  <si>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</si>
  <si>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</si>
  <si>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</si>
  <si>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</si>
  <si>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</si>
  <si>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</si>
  <si>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</si>
  <si>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</si>
  <si>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</si>
  <si>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</si>
  <si>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</si>
  <si>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</si>
  <si>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</si>
  <si>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</si>
  <si>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</si>
  <si>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</si>
  <si>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</si>
  <si>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</si>
  <si>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</si>
  <si>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</si>
  <si>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</si>
  <si>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</si>
  <si>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</si>
  <si>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</si>
  <si>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</si>
  <si>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</si>
  <si>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</si>
  <si>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</si>
  <si>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</si>
  <si>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</si>
  <si>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</si>
  <si>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</si>
  <si>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</si>
  <si>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</si>
  <si>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</si>
  <si>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</si>
  <si>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</si>
  <si>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</si>
  <si>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</si>
  <si>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</si>
  <si>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</si>
  <si>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</si>
  <si>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</si>
  <si>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</si>
  <si>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</si>
  <si>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</si>
  <si>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</si>
  <si>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</si>
  <si>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</si>
  <si>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</si>
  <si>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</si>
  <si>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</si>
  <si>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</si>
  <si>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</si>
  <si>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</si>
  <si>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</si>
  <si>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</si>
  <si>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</si>
  <si>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</si>
  <si>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</si>
  <si>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</si>
  <si>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</si>
  <si>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</si>
  <si>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</si>
  <si>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</si>
  <si>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</si>
  <si>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</si>
  <si>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</si>
  <si>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</si>
  <si>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</si>
  <si>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</si>
  <si>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</si>
  <si>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</si>
  <si>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</si>
  <si>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</si>
  <si>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</si>
  <si>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</si>
  <si>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</si>
  <si>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</si>
  <si>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СМЕТНА ПАЛАТА</t>
  </si>
  <si>
    <t>Л.Бъкова</t>
  </si>
  <si>
    <t>Цв.Цветков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</si>
</sst>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2" applyFont="1" applyFill="1" applyAlignment="1" applyProtection="1">
      <alignment horizontal="right"/>
      <protection/>
    </xf>
    <xf numFmtId="0" fontId="148" fillId="32" borderId="0" xfId="62" applyFont="1" applyFill="1" applyBorder="1" applyAlignment="1" applyProtection="1">
      <alignment horizontal="center"/>
      <protection/>
    </xf>
    <xf numFmtId="174" fontId="149" fillId="32" borderId="0" xfId="64" applyNumberFormat="1" applyFont="1" applyFill="1" applyAlignment="1" applyProtection="1">
      <alignment/>
      <protection/>
    </xf>
    <xf numFmtId="0" fontId="147" fillId="32" borderId="0" xfId="57" applyFont="1" applyFill="1" applyAlignment="1" applyProtection="1" quotePrefix="1">
      <alignment/>
      <protection/>
    </xf>
    <xf numFmtId="0" fontId="149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0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9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19" fillId="32" borderId="21" xfId="57" applyNumberFormat="1" applyFont="1" applyFill="1" applyBorder="1" applyAlignment="1">
      <alignment horizontal="center"/>
      <protection/>
    </xf>
    <xf numFmtId="177" fontId="25" fillId="38" borderId="0" xfId="57" applyNumberFormat="1" applyFont="1" applyFill="1" applyBorder="1">
      <alignment/>
      <protection/>
    </xf>
    <xf numFmtId="0" fontId="149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79" fontId="9" fillId="32" borderId="22" xfId="57" applyNumberFormat="1" applyFont="1" applyFill="1" applyBorder="1" applyAlignment="1">
      <alignment horizontal="left"/>
      <protection/>
    </xf>
    <xf numFmtId="179" fontId="9" fillId="32" borderId="21" xfId="57" applyNumberFormat="1" applyFont="1" applyFill="1" applyBorder="1" applyAlignment="1">
      <alignment horizontal="left"/>
      <protection/>
    </xf>
    <xf numFmtId="177" fontId="25" fillId="32" borderId="0" xfId="57" applyNumberFormat="1" applyFont="1" applyFill="1" applyBorder="1">
      <alignment/>
      <protection/>
    </xf>
    <xf numFmtId="177" fontId="25" fillId="32" borderId="19" xfId="57" applyNumberFormat="1" applyFont="1" applyFill="1" applyBorder="1">
      <alignment/>
      <protection/>
    </xf>
    <xf numFmtId="176" fontId="25" fillId="32" borderId="0" xfId="57" applyNumberFormat="1" applyFont="1" applyFill="1" applyBorder="1" applyAlignment="1">
      <alignment horizontal="center"/>
      <protection/>
    </xf>
    <xf numFmtId="176" fontId="25" fillId="32" borderId="19" xfId="57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8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47" fillId="40" borderId="27" xfId="57" applyFont="1" applyFill="1" applyBorder="1">
      <alignment/>
      <protection/>
    </xf>
    <xf numFmtId="0" fontId="149" fillId="40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8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5" borderId="48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46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8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64" applyNumberFormat="1" applyFont="1" applyFill="1" applyBorder="1" applyAlignment="1" applyProtection="1">
      <alignment/>
      <protection/>
    </xf>
    <xf numFmtId="38" fontId="25" fillId="44" borderId="58" xfId="64" applyNumberFormat="1" applyFont="1" applyFill="1" applyBorder="1" applyAlignment="1" applyProtection="1">
      <alignment/>
      <protection/>
    </xf>
    <xf numFmtId="38" fontId="25" fillId="44" borderId="51" xfId="64" applyNumberFormat="1" applyFont="1" applyFill="1" applyBorder="1" applyAlignment="1" applyProtection="1">
      <alignment/>
      <protection/>
    </xf>
    <xf numFmtId="38" fontId="25" fillId="44" borderId="52" xfId="64" applyNumberFormat="1" applyFont="1" applyFill="1" applyBorder="1" applyAlignment="1" applyProtection="1">
      <alignment/>
      <protection/>
    </xf>
    <xf numFmtId="38" fontId="25" fillId="44" borderId="53" xfId="64" applyNumberFormat="1" applyFont="1" applyFill="1" applyBorder="1" applyAlignment="1" applyProtection="1">
      <alignment/>
      <protection/>
    </xf>
    <xf numFmtId="38" fontId="25" fillId="44" borderId="54" xfId="64" applyNumberFormat="1" applyFont="1" applyFill="1" applyBorder="1" applyAlignment="1" applyProtection="1">
      <alignment/>
      <protection/>
    </xf>
    <xf numFmtId="38" fontId="8" fillId="33" borderId="59" xfId="64" applyNumberFormat="1" applyFont="1" applyFill="1" applyBorder="1" applyAlignment="1" applyProtection="1">
      <alignment/>
      <protection/>
    </xf>
    <xf numFmtId="38" fontId="8" fillId="33" borderId="22" xfId="64" applyNumberFormat="1" applyFont="1" applyFill="1" applyBorder="1" applyAlignment="1" applyProtection="1">
      <alignment/>
      <protection/>
    </xf>
    <xf numFmtId="38" fontId="8" fillId="33" borderId="56" xfId="64" applyNumberFormat="1" applyFont="1" applyFill="1" applyBorder="1" applyAlignment="1" applyProtection="1">
      <alignment/>
      <protection/>
    </xf>
    <xf numFmtId="38" fontId="25" fillId="44" borderId="47" xfId="64" applyNumberFormat="1" applyFont="1" applyFill="1" applyBorder="1" applyAlignment="1" applyProtection="1">
      <alignment/>
      <protection/>
    </xf>
    <xf numFmtId="38" fontId="25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8" fillId="33" borderId="66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8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5" fillId="44" borderId="55" xfId="64" applyNumberFormat="1" applyFont="1" applyFill="1" applyBorder="1" applyAlignment="1" applyProtection="1">
      <alignment/>
      <protection/>
    </xf>
    <xf numFmtId="38" fontId="25" fillId="44" borderId="63" xfId="64" applyNumberFormat="1" applyFont="1" applyFill="1" applyBorder="1" applyAlignment="1" applyProtection="1">
      <alignment/>
      <protection/>
    </xf>
    <xf numFmtId="38" fontId="25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59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8" fillId="44" borderId="59" xfId="64" applyNumberFormat="1" applyFont="1" applyFill="1" applyBorder="1" applyAlignment="1" applyProtection="1">
      <alignment horizontal="center"/>
      <protection/>
    </xf>
    <xf numFmtId="38" fontId="8" fillId="44" borderId="22" xfId="64" applyNumberFormat="1" applyFont="1" applyFill="1" applyBorder="1" applyAlignment="1" applyProtection="1">
      <alignment horizontal="center"/>
      <protection/>
    </xf>
    <xf numFmtId="38" fontId="8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5" fillId="44" borderId="46" xfId="64" applyNumberFormat="1" applyFont="1" applyFill="1" applyBorder="1" applyAlignment="1" applyProtection="1">
      <alignment horizontal="center"/>
      <protection/>
    </xf>
    <xf numFmtId="38" fontId="25" fillId="44" borderId="47" xfId="64" applyNumberFormat="1" applyFont="1" applyFill="1" applyBorder="1" applyAlignment="1" applyProtection="1">
      <alignment horizontal="center"/>
      <protection/>
    </xf>
    <xf numFmtId="38" fontId="25" fillId="44" borderId="48" xfId="64" applyNumberFormat="1" applyFont="1" applyFill="1" applyBorder="1" applyAlignment="1" applyProtection="1">
      <alignment horizontal="center"/>
      <protection/>
    </xf>
    <xf numFmtId="38" fontId="8" fillId="33" borderId="59" xfId="64" applyNumberFormat="1" applyFont="1" applyFill="1" applyBorder="1" applyAlignment="1" applyProtection="1">
      <alignment horizontal="center"/>
      <protection/>
    </xf>
    <xf numFmtId="38" fontId="8" fillId="33" borderId="22" xfId="64" applyNumberFormat="1" applyFont="1" applyFill="1" applyBorder="1" applyAlignment="1" applyProtection="1">
      <alignment horizontal="center"/>
      <protection/>
    </xf>
    <xf numFmtId="38" fontId="8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8" fillId="33" borderId="66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50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34" xfId="64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5" fillId="49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6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6" fillId="35" borderId="0" xfId="63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8" fillId="50" borderId="31" xfId="63" applyNumberFormat="1" applyFont="1" applyFill="1" applyBorder="1" applyAlignment="1" applyProtection="1">
      <alignment horizontal="center" vertical="center"/>
      <protection locked="0"/>
    </xf>
    <xf numFmtId="174" fontId="147" fillId="32" borderId="0" xfId="64" applyNumberFormat="1" applyFont="1" applyFill="1" applyAlignment="1" applyProtection="1">
      <alignment/>
      <protection/>
    </xf>
    <xf numFmtId="0" fontId="149" fillId="35" borderId="0" xfId="63" applyFont="1" applyFill="1" applyBorder="1" applyProtection="1">
      <alignment/>
      <protection/>
    </xf>
    <xf numFmtId="0" fontId="167" fillId="35" borderId="0" xfId="63" applyFont="1" applyFill="1" applyBorder="1" applyProtection="1">
      <alignment/>
      <protection/>
    </xf>
    <xf numFmtId="0" fontId="167" fillId="35" borderId="0" xfId="63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32" borderId="49" xfId="0" applyFont="1" applyFill="1" applyBorder="1" applyAlignment="1" applyProtection="1">
      <alignment horizontal="center"/>
      <protection locked="0"/>
    </xf>
    <xf numFmtId="172" fontId="170" fillId="33" borderId="31" xfId="63" applyNumberFormat="1" applyFont="1" applyFill="1" applyBorder="1" applyAlignment="1" applyProtection="1">
      <alignment horizontal="center" vertical="center"/>
      <protection/>
    </xf>
    <xf numFmtId="172" fontId="171" fillId="33" borderId="31" xfId="63" applyNumberFormat="1" applyFont="1" applyFill="1" applyBorder="1" applyAlignment="1" applyProtection="1">
      <alignment horizontal="center" vertical="center"/>
      <protection/>
    </xf>
    <xf numFmtId="0" fontId="9" fillId="33" borderId="31" xfId="63" applyNumberFormat="1" applyFont="1" applyFill="1" applyBorder="1" applyAlignment="1" applyProtection="1">
      <alignment horizontal="center" vertical="center"/>
      <protection/>
    </xf>
    <xf numFmtId="0" fontId="9" fillId="38" borderId="31" xfId="63" applyNumberFormat="1" applyFont="1" applyFill="1" applyBorder="1" applyAlignment="1" applyProtection="1">
      <alignment horizontal="center" vertical="center"/>
      <protection locked="0"/>
    </xf>
    <xf numFmtId="38" fontId="18" fillId="33" borderId="64" xfId="64" applyNumberFormat="1" applyFont="1" applyFill="1" applyBorder="1" applyAlignment="1" applyProtection="1">
      <alignment/>
      <protection/>
    </xf>
    <xf numFmtId="38" fontId="18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2" fillId="32" borderId="119" xfId="0" applyNumberFormat="1" applyFont="1" applyFill="1" applyBorder="1" applyAlignment="1" applyProtection="1" quotePrefix="1">
      <alignment/>
      <protection/>
    </xf>
    <xf numFmtId="174" fontId="173" fillId="32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63" applyFont="1" applyFill="1" applyBorder="1" applyProtection="1">
      <alignment/>
      <protection/>
    </xf>
    <xf numFmtId="0" fontId="36" fillId="33" borderId="47" xfId="63" applyFont="1" applyFill="1" applyBorder="1" applyProtection="1">
      <alignment/>
      <protection/>
    </xf>
    <xf numFmtId="0" fontId="36" fillId="33" borderId="33" xfId="63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5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79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32" borderId="72" xfId="57" applyFont="1" applyFill="1" applyBorder="1">
      <alignment/>
      <protection/>
    </xf>
    <xf numFmtId="0" fontId="23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23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150" fillId="32" borderId="30" xfId="57" applyFont="1" applyFill="1" applyBorder="1">
      <alignment/>
      <protection/>
    </xf>
    <xf numFmtId="0" fontId="23" fillId="32" borderId="19" xfId="57" applyFont="1" applyFill="1" applyBorder="1">
      <alignment/>
      <protection/>
    </xf>
    <xf numFmtId="0" fontId="150" fillId="32" borderId="72" xfId="57" applyFont="1" applyFill="1" applyBorder="1" quotePrefix="1">
      <alignment/>
      <protection/>
    </xf>
    <xf numFmtId="0" fontId="150" fillId="32" borderId="17" xfId="57" applyFont="1" applyFill="1" applyBorder="1" quotePrefix="1">
      <alignment/>
      <protection/>
    </xf>
    <xf numFmtId="176" fontId="29" fillId="53" borderId="0" xfId="57" applyNumberFormat="1" applyFont="1" applyFill="1" applyBorder="1" applyAlignment="1">
      <alignment horizontal="center"/>
      <protection/>
    </xf>
    <xf numFmtId="179" fontId="29" fillId="53" borderId="0" xfId="57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6" fontId="25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5" fillId="33" borderId="0" xfId="57" applyNumberFormat="1" applyFont="1" applyFill="1" applyBorder="1" applyAlignment="1">
      <alignment/>
      <protection/>
    </xf>
    <xf numFmtId="179" fontId="25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72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9" fillId="32" borderId="30" xfId="57" applyFont="1" applyFill="1" applyBorder="1">
      <alignment/>
      <protection/>
    </xf>
    <xf numFmtId="0" fontId="9" fillId="38" borderId="19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7" borderId="0" xfId="57" applyFont="1" applyFill="1">
      <alignment/>
      <protection/>
    </xf>
    <xf numFmtId="178" fontId="25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5" fillId="33" borderId="0" xfId="57" applyNumberFormat="1" applyFont="1" applyFill="1" applyBorder="1" applyAlignment="1">
      <alignment horizontal="center"/>
      <protection/>
    </xf>
    <xf numFmtId="178" fontId="25" fillId="38" borderId="0" xfId="57" applyNumberFormat="1" applyFont="1" applyFill="1" applyBorder="1" applyAlignment="1">
      <alignment horizontal="center"/>
      <protection/>
    </xf>
    <xf numFmtId="193" fontId="147" fillId="40" borderId="28" xfId="58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177" fontId="25" fillId="53" borderId="0" xfId="57" applyNumberFormat="1" applyFont="1" applyFill="1" applyBorder="1" applyAlignment="1">
      <alignment horizontal="center"/>
      <protection/>
    </xf>
    <xf numFmtId="176" fontId="25" fillId="32" borderId="0" xfId="57" applyNumberFormat="1" applyFont="1" applyFill="1" applyBorder="1" applyAlignment="1">
      <alignment horizontal="center"/>
      <protection/>
    </xf>
    <xf numFmtId="38" fontId="179" fillId="44" borderId="46" xfId="64" applyNumberFormat="1" applyFont="1" applyFill="1" applyBorder="1" applyAlignment="1" applyProtection="1">
      <alignment horizontal="center"/>
      <protection/>
    </xf>
    <xf numFmtId="38" fontId="179" fillId="44" borderId="47" xfId="64" applyNumberFormat="1" applyFont="1" applyFill="1" applyBorder="1" applyAlignment="1" applyProtection="1">
      <alignment horizontal="center"/>
      <protection/>
    </xf>
    <xf numFmtId="38" fontId="179" fillId="44" borderId="48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186" fontId="180" fillId="46" borderId="32" xfId="57" applyNumberFormat="1" applyFont="1" applyFill="1" applyBorder="1" applyAlignment="1" applyProtection="1">
      <alignment horizontal="center" vertical="center"/>
      <protection locked="0"/>
    </xf>
    <xf numFmtId="186" fontId="180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8" fillId="46" borderId="48" xfId="64" applyNumberFormat="1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48" fillId="33" borderId="66" xfId="64" applyNumberFormat="1" applyFont="1" applyFill="1" applyBorder="1" applyAlignment="1" applyProtection="1">
      <alignment horizontal="center"/>
      <protection/>
    </xf>
    <xf numFmtId="38" fontId="48" fillId="33" borderId="49" xfId="64" applyNumberFormat="1" applyFont="1" applyFill="1" applyBorder="1" applyAlignment="1" applyProtection="1">
      <alignment horizontal="center"/>
      <protection/>
    </xf>
    <xf numFmtId="38" fontId="48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59" fillId="47" borderId="69" xfId="64" applyNumberFormat="1" applyFont="1" applyFill="1" applyBorder="1" applyAlignment="1" applyProtection="1">
      <alignment horizontal="center"/>
      <protection/>
    </xf>
    <xf numFmtId="38" fontId="159" fillId="47" borderId="19" xfId="64" applyNumberFormat="1" applyFont="1" applyFill="1" applyBorder="1" applyAlignment="1" applyProtection="1">
      <alignment horizontal="center"/>
      <protection/>
    </xf>
    <xf numFmtId="38" fontId="159" fillId="47" borderId="62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38" fontId="25" fillId="44" borderId="55" xfId="64" applyNumberFormat="1" applyFont="1" applyFill="1" applyBorder="1" applyAlignment="1" applyProtection="1">
      <alignment horizontal="center"/>
      <protection/>
    </xf>
    <xf numFmtId="38" fontId="25" fillId="44" borderId="57" xfId="64" applyNumberFormat="1" applyFont="1" applyFill="1" applyBorder="1" applyAlignment="1" applyProtection="1">
      <alignment horizontal="center"/>
      <protection/>
    </xf>
    <xf numFmtId="38" fontId="25" fillId="44" borderId="58" xfId="64" applyNumberFormat="1" applyFont="1" applyFill="1" applyBorder="1" applyAlignment="1" applyProtection="1">
      <alignment horizontal="center"/>
      <protection/>
    </xf>
    <xf numFmtId="38" fontId="25" fillId="44" borderId="63" xfId="64" applyNumberFormat="1" applyFont="1" applyFill="1" applyBorder="1" applyAlignment="1" applyProtection="1">
      <alignment horizontal="center"/>
      <protection/>
    </xf>
    <xf numFmtId="38" fontId="25" fillId="44" borderId="51" xfId="64" applyNumberFormat="1" applyFont="1" applyFill="1" applyBorder="1" applyAlignment="1" applyProtection="1">
      <alignment horizontal="center"/>
      <protection/>
    </xf>
    <xf numFmtId="38" fontId="25" fillId="44" borderId="52" xfId="64" applyNumberFormat="1" applyFont="1" applyFill="1" applyBorder="1" applyAlignment="1" applyProtection="1">
      <alignment horizontal="center"/>
      <protection/>
    </xf>
    <xf numFmtId="38" fontId="25" fillId="44" borderId="64" xfId="64" applyNumberFormat="1" applyFont="1" applyFill="1" applyBorder="1" applyAlignment="1" applyProtection="1">
      <alignment horizontal="center"/>
      <protection/>
    </xf>
    <xf numFmtId="38" fontId="25" fillId="44" borderId="53" xfId="64" applyNumberFormat="1" applyFont="1" applyFill="1" applyBorder="1" applyAlignment="1" applyProtection="1">
      <alignment horizontal="center"/>
      <protection/>
    </xf>
    <xf numFmtId="38" fontId="25" fillId="44" borderId="54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25" fillId="54" borderId="46" xfId="64" applyNumberFormat="1" applyFont="1" applyFill="1" applyBorder="1" applyAlignment="1" applyProtection="1">
      <alignment horizontal="center"/>
      <protection/>
    </xf>
    <xf numFmtId="38" fontId="25" fillId="54" borderId="47" xfId="64" applyNumberFormat="1" applyFont="1" applyFill="1" applyBorder="1" applyAlignment="1" applyProtection="1">
      <alignment horizontal="center"/>
      <protection/>
    </xf>
    <xf numFmtId="38" fontId="25" fillId="54" borderId="48" xfId="64" applyNumberFormat="1" applyFont="1" applyFill="1" applyBorder="1" applyAlignment="1" applyProtection="1">
      <alignment horizontal="center"/>
      <protection/>
    </xf>
    <xf numFmtId="0" fontId="181" fillId="32" borderId="0" xfId="60" applyFont="1" applyFill="1" applyBorder="1" applyAlignment="1" applyProtection="1">
      <alignment horizontal="center"/>
      <protection/>
    </xf>
    <xf numFmtId="185" fontId="156" fillId="33" borderId="32" xfId="60" applyNumberFormat="1" applyFont="1" applyFill="1" applyBorder="1" applyAlignment="1" applyProtection="1">
      <alignment horizontal="center"/>
      <protection/>
    </xf>
    <xf numFmtId="185" fontId="156" fillId="33" borderId="47" xfId="60" applyNumberFormat="1" applyFont="1" applyFill="1" applyBorder="1" applyAlignment="1" applyProtection="1">
      <alignment horizontal="center"/>
      <protection/>
    </xf>
    <xf numFmtId="185" fontId="156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85" fontId="182" fillId="32" borderId="0" xfId="60" applyNumberFormat="1" applyFont="1" applyFill="1" applyBorder="1" applyAlignment="1" applyProtection="1">
      <alignment horizontal="center"/>
      <protection/>
    </xf>
    <xf numFmtId="0" fontId="147" fillId="32" borderId="0" xfId="57" applyFont="1" applyFill="1" applyAlignment="1" applyProtection="1" quotePrefix="1">
      <alignment horizontal="center"/>
      <protection/>
    </xf>
    <xf numFmtId="187" fontId="147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39" fillId="36" borderId="32" xfId="53" applyFill="1" applyBorder="1" applyAlignment="1" applyProtection="1">
      <alignment horizontal="center" vertical="center"/>
      <protection locked="0"/>
    </xf>
    <xf numFmtId="0" fontId="183" fillId="36" borderId="47" xfId="53" applyFont="1" applyFill="1" applyBorder="1" applyAlignment="1" applyProtection="1">
      <alignment horizontal="center" vertical="center"/>
      <protection locked="0"/>
    </xf>
    <xf numFmtId="0" fontId="183" fillId="36" borderId="33" xfId="53" applyFont="1" applyFill="1" applyBorder="1" applyAlignment="1" applyProtection="1">
      <alignment horizontal="center" vertical="center"/>
      <protection locked="0"/>
    </xf>
    <xf numFmtId="38" fontId="139" fillId="33" borderId="32" xfId="53" applyNumberFormat="1" applyFill="1" applyBorder="1" applyAlignment="1" applyProtection="1">
      <alignment horizontal="center" vertical="center"/>
      <protection locked="0"/>
    </xf>
    <xf numFmtId="38" fontId="184" fillId="33" borderId="47" xfId="53" applyNumberFormat="1" applyFont="1" applyFill="1" applyBorder="1" applyAlignment="1" applyProtection="1">
      <alignment horizontal="center" vertical="center"/>
      <protection locked="0"/>
    </xf>
    <xf numFmtId="38" fontId="184" fillId="33" borderId="33" xfId="53" applyNumberFormat="1" applyFont="1" applyFill="1" applyBorder="1" applyAlignment="1" applyProtection="1">
      <alignment horizontal="center" vertical="center"/>
      <protection locked="0"/>
    </xf>
    <xf numFmtId="0" fontId="56" fillId="50" borderId="124" xfId="63" applyFont="1" applyFill="1" applyBorder="1" applyAlignment="1" applyProtection="1">
      <alignment horizontal="center" wrapText="1"/>
      <protection locked="0"/>
    </xf>
    <xf numFmtId="0" fontId="56" fillId="50" borderId="57" xfId="63" applyFont="1" applyFill="1" applyBorder="1" applyAlignment="1" applyProtection="1">
      <alignment horizontal="center" wrapText="1"/>
      <protection locked="0"/>
    </xf>
    <xf numFmtId="0" fontId="56" fillId="50" borderId="125" xfId="63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5" fillId="32" borderId="49" xfId="57" applyFont="1" applyFill="1" applyBorder="1" applyAlignment="1" applyProtection="1" quotePrefix="1">
      <alignment horizontal="center"/>
      <protection/>
    </xf>
    <xf numFmtId="0" fontId="186" fillId="38" borderId="30" xfId="63" applyFont="1" applyFill="1" applyBorder="1" applyAlignment="1" applyProtection="1">
      <alignment horizontal="center" vertical="center" wrapText="1"/>
      <protection locked="0"/>
    </xf>
    <xf numFmtId="0" fontId="186" fillId="38" borderId="19" xfId="63" applyFont="1" applyFill="1" applyBorder="1" applyAlignment="1" applyProtection="1">
      <alignment horizontal="center" vertical="center" wrapText="1"/>
      <protection locked="0"/>
    </xf>
    <xf numFmtId="0" fontId="186" fillId="38" borderId="20" xfId="63" applyFont="1" applyFill="1" applyBorder="1" applyAlignment="1" applyProtection="1">
      <alignment horizontal="center" vertical="center" wrapText="1"/>
      <protection locked="0"/>
    </xf>
    <xf numFmtId="0" fontId="187" fillId="33" borderId="65" xfId="61" applyFont="1" applyFill="1" applyBorder="1" applyAlignment="1" applyProtection="1">
      <alignment horizontal="center"/>
      <protection/>
    </xf>
    <xf numFmtId="0" fontId="187" fillId="33" borderId="0" xfId="61" applyFont="1" applyFill="1" applyBorder="1" applyAlignment="1" applyProtection="1">
      <alignment horizontal="center"/>
      <protection/>
    </xf>
    <xf numFmtId="0" fontId="187" fillId="33" borderId="34" xfId="61" applyFont="1" applyFill="1" applyBorder="1" applyAlignment="1" applyProtection="1">
      <alignment horizontal="center"/>
      <protection/>
    </xf>
    <xf numFmtId="0" fontId="165" fillId="49" borderId="119" xfId="61" applyFont="1" applyFill="1" applyBorder="1" applyAlignment="1" applyProtection="1">
      <alignment horizontal="center"/>
      <protection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2" fillId="33" borderId="0" xfId="60" applyNumberFormat="1" applyFont="1" applyFill="1" applyBorder="1" applyAlignment="1" applyProtection="1">
      <alignment horizontal="center"/>
      <protection/>
    </xf>
    <xf numFmtId="0" fontId="185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7" fillId="33" borderId="119" xfId="61" applyFont="1" applyFill="1" applyBorder="1" applyAlignment="1" applyProtection="1">
      <alignment horizontal="center"/>
      <protection/>
    </xf>
    <xf numFmtId="0" fontId="187" fillId="33" borderId="126" xfId="6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7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0" fillId="46" borderId="32" xfId="57" applyNumberFormat="1" applyFont="1" applyFill="1" applyBorder="1" applyAlignment="1" applyProtection="1">
      <alignment horizontal="center" vertical="center"/>
      <protection/>
    </xf>
    <xf numFmtId="186" fontId="180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9" fillId="33" borderId="30" xfId="63" applyFont="1" applyFill="1" applyBorder="1" applyAlignment="1" applyProtection="1">
      <alignment horizontal="center" vertical="center" wrapText="1"/>
      <protection/>
    </xf>
    <xf numFmtId="0" fontId="59" fillId="33" borderId="19" xfId="63" applyFont="1" applyFill="1" applyBorder="1" applyAlignment="1" applyProtection="1">
      <alignment horizontal="center" vertical="center" wrapText="1"/>
      <protection/>
    </xf>
    <xf numFmtId="0" fontId="59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88" fillId="36" borderId="32" xfId="53" applyFont="1" applyFill="1" applyBorder="1" applyAlignment="1" applyProtection="1">
      <alignment horizontal="center" vertical="center"/>
      <protection/>
    </xf>
    <xf numFmtId="0" fontId="188" fillId="36" borderId="47" xfId="53" applyFont="1" applyFill="1" applyBorder="1" applyAlignment="1" applyProtection="1">
      <alignment horizontal="center" vertical="center"/>
      <protection/>
    </xf>
    <xf numFmtId="0" fontId="188" fillId="36" borderId="33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7">
        <f>+H7-1</f>
        <v>2017</v>
      </c>
      <c r="H46" s="577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G10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0" sqref="M14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373</v>
      </c>
      <c r="C1" s="663"/>
      <c r="D1" s="663"/>
      <c r="E1" s="663"/>
      <c r="F1" s="664"/>
      <c r="G1" s="450" t="s">
        <v>253</v>
      </c>
      <c r="H1" s="443"/>
      <c r="I1" s="654">
        <v>121004469</v>
      </c>
      <c r="J1" s="655"/>
      <c r="K1" s="444"/>
      <c r="L1" s="452" t="s">
        <v>254</v>
      </c>
      <c r="M1" s="448">
        <v>500</v>
      </c>
      <c r="N1" s="444"/>
      <c r="O1" s="452" t="s">
        <v>246</v>
      </c>
      <c r="P1" s="471"/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СМЕТНА ПАЛАТА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292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31.03.2018 г.</v>
      </c>
      <c r="G11" s="413">
        <f>+P5-1</f>
        <v>2017</v>
      </c>
      <c r="H11" s="15"/>
      <c r="I11" s="118" t="str">
        <f>+O8</f>
        <v>31.03.2018 г.</v>
      </c>
      <c r="J11" s="414">
        <f>+P5-1</f>
        <v>2017</v>
      </c>
      <c r="K11" s="16"/>
      <c r="L11" s="116" t="str">
        <f>+O8</f>
        <v>31.03.2018 г.</v>
      </c>
      <c r="M11" s="415">
        <f>+P5-1</f>
        <v>2017</v>
      </c>
      <c r="N11" s="16"/>
      <c r="O11" s="370" t="str">
        <f>+O8</f>
        <v>31.03.2018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10380</v>
      </c>
      <c r="G18" s="245">
        <v>72210</v>
      </c>
      <c r="H18" s="15"/>
      <c r="I18" s="246"/>
      <c r="J18" s="245"/>
      <c r="K18" s="243"/>
      <c r="L18" s="246"/>
      <c r="M18" s="245"/>
      <c r="N18" s="243"/>
      <c r="O18" s="382">
        <f t="shared" si="0"/>
        <v>10380</v>
      </c>
      <c r="P18" s="395">
        <f t="shared" si="0"/>
        <v>72210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436</v>
      </c>
      <c r="G19" s="247">
        <v>3947</v>
      </c>
      <c r="H19" s="15"/>
      <c r="I19" s="248"/>
      <c r="J19" s="247"/>
      <c r="K19" s="243"/>
      <c r="L19" s="248"/>
      <c r="M19" s="247"/>
      <c r="N19" s="243"/>
      <c r="O19" s="377">
        <f t="shared" si="0"/>
        <v>436</v>
      </c>
      <c r="P19" s="429">
        <f t="shared" si="0"/>
        <v>3947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839</v>
      </c>
      <c r="G20" s="247">
        <v>4099</v>
      </c>
      <c r="H20" s="15"/>
      <c r="I20" s="248"/>
      <c r="J20" s="247"/>
      <c r="K20" s="243"/>
      <c r="L20" s="248"/>
      <c r="M20" s="247"/>
      <c r="N20" s="243"/>
      <c r="O20" s="377">
        <f t="shared" si="0"/>
        <v>839</v>
      </c>
      <c r="P20" s="429">
        <f t="shared" si="0"/>
        <v>4099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/>
      <c r="G22" s="247"/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0</v>
      </c>
      <c r="P22" s="429">
        <f t="shared" si="0"/>
        <v>0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24</v>
      </c>
      <c r="G24" s="249">
        <v>305</v>
      </c>
      <c r="H24" s="15"/>
      <c r="I24" s="250"/>
      <c r="J24" s="249"/>
      <c r="K24" s="243"/>
      <c r="L24" s="250"/>
      <c r="M24" s="249"/>
      <c r="N24" s="243"/>
      <c r="O24" s="378">
        <f t="shared" si="0"/>
        <v>24</v>
      </c>
      <c r="P24" s="401">
        <f t="shared" si="0"/>
        <v>305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11679</v>
      </c>
      <c r="G25" s="251">
        <f>+ROUND(+SUM(G15,G16,G18,G19,G20,G21,G22,G23,G24),0)</f>
        <v>80561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11679</v>
      </c>
      <c r="P25" s="380">
        <f>+ROUND(+SUM(P15,P16,P18,P19,P20,P21,P22,P23,P24),0)</f>
        <v>80561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-4648</v>
      </c>
      <c r="G37" s="263">
        <v>-14584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-4648</v>
      </c>
      <c r="P37" s="380">
        <f t="shared" si="2"/>
        <v>-14584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-203</v>
      </c>
      <c r="G38" s="265">
        <v>-625</v>
      </c>
      <c r="H38" s="15"/>
      <c r="I38" s="266"/>
      <c r="J38" s="265"/>
      <c r="K38" s="243"/>
      <c r="L38" s="266"/>
      <c r="M38" s="265"/>
      <c r="N38" s="243"/>
      <c r="O38" s="392">
        <f t="shared" si="2"/>
        <v>-203</v>
      </c>
      <c r="P38" s="430">
        <f t="shared" si="2"/>
        <v>-625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-1689</v>
      </c>
      <c r="G39" s="267">
        <v>-1806</v>
      </c>
      <c r="H39" s="15"/>
      <c r="I39" s="268"/>
      <c r="J39" s="267"/>
      <c r="K39" s="243"/>
      <c r="L39" s="268"/>
      <c r="M39" s="267"/>
      <c r="N39" s="243"/>
      <c r="O39" s="393">
        <f t="shared" si="2"/>
        <v>-1689</v>
      </c>
      <c r="P39" s="431">
        <f t="shared" si="2"/>
        <v>-1806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>
        <v>811</v>
      </c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811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>
        <v>1443180</v>
      </c>
      <c r="J45" s="247"/>
      <c r="K45" s="243"/>
      <c r="L45" s="248"/>
      <c r="M45" s="247"/>
      <c r="N45" s="243"/>
      <c r="O45" s="377">
        <f t="shared" si="3"/>
        <v>1443180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1443180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1443180</v>
      </c>
      <c r="P48" s="380">
        <f>+ROUND(+SUM(P44:P47),0)</f>
        <v>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7031</v>
      </c>
      <c r="G50" s="273">
        <f>+ROUND(G25+G30+G37+G42+G48,0)</f>
        <v>66788</v>
      </c>
      <c r="H50" s="15"/>
      <c r="I50" s="274">
        <f>+ROUND(I25+I30+I37+I42+I48,0)</f>
        <v>1443180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1450211</v>
      </c>
      <c r="P50" s="397">
        <f>+ROUND(P25+P30+P37+P42+P48,0)</f>
        <v>66788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288685</v>
      </c>
      <c r="G53" s="275">
        <v>1390517</v>
      </c>
      <c r="H53" s="15"/>
      <c r="I53" s="276">
        <v>46615</v>
      </c>
      <c r="J53" s="275">
        <v>17524</v>
      </c>
      <c r="K53" s="243"/>
      <c r="L53" s="276"/>
      <c r="M53" s="275"/>
      <c r="N53" s="243"/>
      <c r="O53" s="383">
        <f aca="true" t="shared" si="4" ref="O53:P57">+ROUND(+F53+I53+L53,0)</f>
        <v>335300</v>
      </c>
      <c r="P53" s="376">
        <f t="shared" si="4"/>
        <v>1408041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26102</v>
      </c>
      <c r="G54" s="249">
        <v>27469</v>
      </c>
      <c r="H54" s="15"/>
      <c r="I54" s="250">
        <v>173</v>
      </c>
      <c r="J54" s="249">
        <v>746</v>
      </c>
      <c r="K54" s="243"/>
      <c r="L54" s="250"/>
      <c r="M54" s="249"/>
      <c r="N54" s="243"/>
      <c r="O54" s="378">
        <f t="shared" si="4"/>
        <v>26275</v>
      </c>
      <c r="P54" s="401">
        <f t="shared" si="4"/>
        <v>28215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62800</v>
      </c>
      <c r="G55" s="249">
        <v>83606</v>
      </c>
      <c r="H55" s="15"/>
      <c r="I55" s="250"/>
      <c r="J55" s="249"/>
      <c r="K55" s="243"/>
      <c r="L55" s="250"/>
      <c r="M55" s="249"/>
      <c r="N55" s="243"/>
      <c r="O55" s="378">
        <f t="shared" si="4"/>
        <v>62800</v>
      </c>
      <c r="P55" s="401">
        <f t="shared" si="4"/>
        <v>83606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2871373</v>
      </c>
      <c r="G56" s="249">
        <v>12118978</v>
      </c>
      <c r="H56" s="15"/>
      <c r="I56" s="250">
        <v>19732</v>
      </c>
      <c r="J56" s="249"/>
      <c r="K56" s="243"/>
      <c r="L56" s="250"/>
      <c r="M56" s="249"/>
      <c r="N56" s="243"/>
      <c r="O56" s="378">
        <f t="shared" si="4"/>
        <v>2891105</v>
      </c>
      <c r="P56" s="401">
        <f t="shared" si="4"/>
        <v>12118978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406740</v>
      </c>
      <c r="G57" s="249">
        <v>1927573</v>
      </c>
      <c r="H57" s="15"/>
      <c r="I57" s="250">
        <v>1964</v>
      </c>
      <c r="J57" s="249"/>
      <c r="K57" s="243"/>
      <c r="L57" s="250"/>
      <c r="M57" s="249"/>
      <c r="N57" s="243"/>
      <c r="O57" s="378">
        <f t="shared" si="4"/>
        <v>408704</v>
      </c>
      <c r="P57" s="401">
        <f t="shared" si="4"/>
        <v>1927573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3655700</v>
      </c>
      <c r="G58" s="277">
        <f>+ROUND(+SUM(G53:G57),0)</f>
        <v>15548143</v>
      </c>
      <c r="H58" s="15"/>
      <c r="I58" s="278">
        <f>+ROUND(+SUM(I53:I57),0)</f>
        <v>68484</v>
      </c>
      <c r="J58" s="277">
        <f>+ROUND(+SUM(J53:J57),0)</f>
        <v>18270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3724184</v>
      </c>
      <c r="P58" s="399">
        <f>+ROUND(+SUM(P53:P57),0)</f>
        <v>15566413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598</v>
      </c>
      <c r="G61" s="249">
        <v>167471</v>
      </c>
      <c r="H61" s="15"/>
      <c r="I61" s="250"/>
      <c r="J61" s="249"/>
      <c r="K61" s="243"/>
      <c r="L61" s="250"/>
      <c r="M61" s="249"/>
      <c r="N61" s="243"/>
      <c r="O61" s="378">
        <f t="shared" si="5"/>
        <v>598</v>
      </c>
      <c r="P61" s="401">
        <f t="shared" si="5"/>
        <v>167471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138</v>
      </c>
      <c r="G62" s="249">
        <v>295720</v>
      </c>
      <c r="H62" s="15"/>
      <c r="I62" s="250"/>
      <c r="J62" s="249"/>
      <c r="K62" s="243"/>
      <c r="L62" s="250"/>
      <c r="M62" s="249"/>
      <c r="N62" s="243"/>
      <c r="O62" s="378">
        <f t="shared" si="5"/>
        <v>138</v>
      </c>
      <c r="P62" s="401">
        <f t="shared" si="5"/>
        <v>295720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736</v>
      </c>
      <c r="G65" s="277">
        <f>+ROUND(+SUM(G60:G63),0)</f>
        <v>463191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736</v>
      </c>
      <c r="P65" s="399">
        <f>+ROUND(+SUM(P60:P63),0)</f>
        <v>463191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/>
      <c r="G71" s="275"/>
      <c r="H71" s="15"/>
      <c r="I71" s="276"/>
      <c r="J71" s="275"/>
      <c r="K71" s="243"/>
      <c r="L71" s="276"/>
      <c r="M71" s="275"/>
      <c r="N71" s="243"/>
      <c r="O71" s="383">
        <f>+ROUND(+F71+I71+L71,0)</f>
        <v>0</v>
      </c>
      <c r="P71" s="376">
        <f>+ROUND(+G71+J71+M71,0)</f>
        <v>0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0</v>
      </c>
      <c r="G73" s="277">
        <f>+ROUND(+SUM(G71:G72),0)</f>
        <v>0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0</v>
      </c>
      <c r="P73" s="399">
        <f>+ROUND(+SUM(P71:P72),0)</f>
        <v>0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3656436</v>
      </c>
      <c r="G79" s="288">
        <f>+ROUND(G58+G65+G69+G73+G77,0)</f>
        <v>16011334</v>
      </c>
      <c r="H79" s="15"/>
      <c r="I79" s="285">
        <f>+ROUND(I58+I65+I69+I73+I77,0)</f>
        <v>68484</v>
      </c>
      <c r="J79" s="288">
        <f>+ROUND(J58+J65+J69+J73+J77,0)</f>
        <v>18270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3724920</v>
      </c>
      <c r="P79" s="409">
        <f>+ROUND(P58+P65+P69+P73+P77,0)</f>
        <v>16029604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3636094</v>
      </c>
      <c r="G81" s="245">
        <v>15944546</v>
      </c>
      <c r="H81" s="15"/>
      <c r="I81" s="246"/>
      <c r="J81" s="245">
        <v>18270</v>
      </c>
      <c r="K81" s="243"/>
      <c r="L81" s="246"/>
      <c r="M81" s="245"/>
      <c r="N81" s="243"/>
      <c r="O81" s="382">
        <f>+ROUND(+F81+I81+L81,0)</f>
        <v>3636094</v>
      </c>
      <c r="P81" s="395">
        <f>+ROUND(+G81+J81+M81,0)</f>
        <v>15962816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3636094</v>
      </c>
      <c r="G83" s="286">
        <f>+ROUND(G81+G82,0)</f>
        <v>15944546</v>
      </c>
      <c r="H83" s="15"/>
      <c r="I83" s="287">
        <f>+ROUND(I81+I82,0)</f>
        <v>0</v>
      </c>
      <c r="J83" s="286">
        <f>+ROUND(J81+J82,0)</f>
        <v>18270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3636094</v>
      </c>
      <c r="P83" s="404">
        <f>+ROUND(P81+P82,0)</f>
        <v>15962816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-13311</v>
      </c>
      <c r="G85" s="307">
        <f>+ROUND(G50,0)-ROUND(G79,0)+ROUND(G83,0)</f>
        <v>0</v>
      </c>
      <c r="H85" s="15"/>
      <c r="I85" s="308">
        <f>+ROUND(I50,0)-ROUND(I79,0)+ROUND(I83,0)</f>
        <v>1374696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1361385</v>
      </c>
      <c r="P85" s="406">
        <f>+ROUND(P50,0)-ROUND(P79,0)+ROUND(P83,0)</f>
        <v>0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13311</v>
      </c>
      <c r="G86" s="309">
        <f>+ROUND(G103,0)+ROUND(G122,0)+ROUND(G129,0)-ROUND(G134,0)</f>
        <v>0</v>
      </c>
      <c r="H86" s="15"/>
      <c r="I86" s="310">
        <f>+ROUND(I103,0)+ROUND(I122,0)+ROUND(I129,0)-ROUND(I134,0)</f>
        <v>-1374696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-1361385</v>
      </c>
      <c r="P86" s="408">
        <f>+ROUND(P103,0)+ROUND(P122,0)+ROUND(P129,0)-ROUND(P134,0)</f>
        <v>0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0</v>
      </c>
      <c r="G103" s="273">
        <f>+ROUND(G91+G97+G101,0)</f>
        <v>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0</v>
      </c>
      <c r="P103" s="397">
        <f>+ROUND(P91+P97+P101,0)</f>
        <v>0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>
        <v>-6103</v>
      </c>
      <c r="M118" s="275">
        <v>8794</v>
      </c>
      <c r="N118" s="243"/>
      <c r="O118" s="383">
        <f>+ROUND(+F118+I118+L118,0)</f>
        <v>-6103</v>
      </c>
      <c r="P118" s="376">
        <f>+ROUND(+G118+J118+M118,0)</f>
        <v>8794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-6103</v>
      </c>
      <c r="M120" s="277">
        <f>+ROUND(+SUM(M118:M119),0)</f>
        <v>8794</v>
      </c>
      <c r="N120" s="243"/>
      <c r="O120" s="398">
        <f>+ROUND(+SUM(O118:O119),0)</f>
        <v>-6103</v>
      </c>
      <c r="P120" s="399">
        <f>+ROUND(+SUM(P118:P119),0)</f>
        <v>8794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-6103</v>
      </c>
      <c r="M122" s="288">
        <f>+ROUND(M108+M112+M116+M120,0)</f>
        <v>8794</v>
      </c>
      <c r="N122" s="243"/>
      <c r="O122" s="402">
        <f>+ROUND(O108+O112+O116+O120,0)</f>
        <v>-6103</v>
      </c>
      <c r="P122" s="409">
        <f>+ROUND(P108+P112+P116+P120,0)</f>
        <v>8794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1374696</v>
      </c>
      <c r="G125" s="249"/>
      <c r="H125" s="15"/>
      <c r="I125" s="250">
        <v>-1374696</v>
      </c>
      <c r="J125" s="249"/>
      <c r="K125" s="243"/>
      <c r="L125" s="250"/>
      <c r="M125" s="249"/>
      <c r="N125" s="243"/>
      <c r="O125" s="378">
        <f t="shared" si="7"/>
        <v>0</v>
      </c>
      <c r="P125" s="401">
        <f t="shared" si="7"/>
        <v>0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1374696</v>
      </c>
      <c r="G129" s="286">
        <f>+ROUND(+SUM(G124,G125,G126,G128),0)</f>
        <v>0</v>
      </c>
      <c r="H129" s="15"/>
      <c r="I129" s="287">
        <f>+ROUND(+SUM(I124,I125,I126,I128),0)</f>
        <v>-1374696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0</v>
      </c>
      <c r="P129" s="404">
        <f>+ROUND(+SUM(P124,P125,P126,P128),0)</f>
        <v>0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/>
      <c r="G131" s="245"/>
      <c r="H131" s="15"/>
      <c r="I131" s="246"/>
      <c r="J131" s="245"/>
      <c r="K131" s="243"/>
      <c r="L131" s="246">
        <v>28389</v>
      </c>
      <c r="M131" s="245">
        <v>19595</v>
      </c>
      <c r="N131" s="243"/>
      <c r="O131" s="382">
        <f aca="true" t="shared" si="8" ref="O131:P133">+ROUND(+F131+I131+L131,0)</f>
        <v>28389</v>
      </c>
      <c r="P131" s="395">
        <f t="shared" si="8"/>
        <v>19595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1361385</v>
      </c>
      <c r="G133" s="249"/>
      <c r="H133" s="15"/>
      <c r="I133" s="250"/>
      <c r="J133" s="249"/>
      <c r="K133" s="243"/>
      <c r="L133" s="250">
        <v>22286</v>
      </c>
      <c r="M133" s="249">
        <v>28389</v>
      </c>
      <c r="N133" s="243"/>
      <c r="O133" s="378">
        <f t="shared" si="8"/>
        <v>1383671</v>
      </c>
      <c r="P133" s="401">
        <f t="shared" si="8"/>
        <v>28389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1361385</v>
      </c>
      <c r="G134" s="291">
        <f>+ROUND(+G133-G131-G132,0)</f>
        <v>0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-6103</v>
      </c>
      <c r="M134" s="291">
        <f>+ROUND(+M133-M131-M132,0)</f>
        <v>8794</v>
      </c>
      <c r="N134" s="243"/>
      <c r="O134" s="411">
        <f>+ROUND(+O133-O131-O132,0)</f>
        <v>1355282</v>
      </c>
      <c r="P134" s="412">
        <f>+ROUND(+P133-P131-P132,0)</f>
        <v>8794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23042018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374</v>
      </c>
      <c r="G143" s="666"/>
      <c r="H143" s="666"/>
      <c r="I143" s="667"/>
      <c r="J143" s="362"/>
      <c r="K143" s="16"/>
      <c r="L143" s="362" t="s">
        <v>241</v>
      </c>
      <c r="M143" s="665" t="s">
        <v>375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СМЕТНА ПАЛАТА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121004469</v>
      </c>
      <c r="J1" s="689"/>
      <c r="K1" s="456"/>
      <c r="L1" s="457" t="s">
        <v>254</v>
      </c>
      <c r="M1" s="458">
        <f>+'Cash-Flow-2018-Leva'!M1</f>
        <v>500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СМЕТНА ПАЛАТА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31.03.2018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31.03.2018 г.</v>
      </c>
      <c r="G11" s="413">
        <f>+'Cash-Flow-2018-Leva'!G11</f>
        <v>2017</v>
      </c>
      <c r="H11" s="5"/>
      <c r="I11" s="118" t="str">
        <f>+O8</f>
        <v>31.03.2018 г.</v>
      </c>
      <c r="J11" s="414">
        <f>+'Cash-Flow-2018-Leva'!J11</f>
        <v>2017</v>
      </c>
      <c r="K11" s="5"/>
      <c r="L11" s="116" t="str">
        <f>+O8</f>
        <v>31.03.2018 г.</v>
      </c>
      <c r="M11" s="415">
        <f>+'Cash-Flow-2018-Leva'!M11</f>
        <v>2017</v>
      </c>
      <c r="N11" s="482"/>
      <c r="O11" s="370" t="str">
        <f>+O8</f>
        <v>31.03.2018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10.38</v>
      </c>
      <c r="G18" s="271">
        <f>+'Cash-Flow-2018-Leva'!G18/1000</f>
        <v>72.21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10.38</v>
      </c>
      <c r="P18" s="395">
        <f t="shared" si="1"/>
        <v>72.21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0.436</v>
      </c>
      <c r="G19" s="294">
        <f>+'Cash-Flow-2018-Leva'!G19/1000</f>
        <v>3.947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0.436</v>
      </c>
      <c r="P19" s="429">
        <f t="shared" si="1"/>
        <v>3.947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0.839</v>
      </c>
      <c r="G20" s="294">
        <f>+'Cash-Flow-2018-Leva'!G20/1000</f>
        <v>4.099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0.839</v>
      </c>
      <c r="P20" s="429">
        <f t="shared" si="1"/>
        <v>4.099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</v>
      </c>
      <c r="G22" s="294">
        <f>+'Cash-Flow-2018-Leva'!G22/1000</f>
        <v>0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</v>
      </c>
      <c r="P22" s="429">
        <f t="shared" si="1"/>
        <v>0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0.024</v>
      </c>
      <c r="G24" s="283">
        <f>+'Cash-Flow-2018-Leva'!G24/1000</f>
        <v>0.305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0.024</v>
      </c>
      <c r="P24" s="401">
        <f t="shared" si="1"/>
        <v>0.305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11.679</v>
      </c>
      <c r="G25" s="251">
        <f>+SUM(G15,G16,G18,G19,G20,G21,G22,G23,G24)</f>
        <v>80.561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11.679</v>
      </c>
      <c r="P25" s="380">
        <f>+SUM(P15,P16,P18,P19,P20,P21,P22,P23,P24)</f>
        <v>80.561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-4.648</v>
      </c>
      <c r="G37" s="251">
        <f>+'Cash-Flow-2018-Leva'!G37/1000</f>
        <v>-14.584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-4.648</v>
      </c>
      <c r="P37" s="380">
        <f t="shared" si="3"/>
        <v>-14.584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-0.203</v>
      </c>
      <c r="G38" s="296">
        <f>+'Cash-Flow-2018-Leva'!G38/1000</f>
        <v>-0.625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-0.203</v>
      </c>
      <c r="P38" s="430">
        <f t="shared" si="3"/>
        <v>-0.625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-1.689</v>
      </c>
      <c r="G39" s="298">
        <f>+'Cash-Flow-2018-Leva'!G39/1000</f>
        <v>-1.806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-1.689</v>
      </c>
      <c r="P39" s="431">
        <f t="shared" si="3"/>
        <v>-1.806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0.811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0.811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1443.18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1443.18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1443.18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1443.18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7.031000000000001</v>
      </c>
      <c r="G50" s="273">
        <f>+G25+G30+G37+G42+G48</f>
        <v>66.78800000000001</v>
      </c>
      <c r="H50" s="293"/>
      <c r="I50" s="274">
        <f>+I25+I30+I37+I42+I48</f>
        <v>1443.18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1450.211</v>
      </c>
      <c r="P50" s="397">
        <f>+P25+P30+P37+P42+P48</f>
        <v>66.78800000000001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288.685</v>
      </c>
      <c r="G53" s="244">
        <f>+'Cash-Flow-2018-Leva'!G53/1000</f>
        <v>1390.517</v>
      </c>
      <c r="H53" s="293"/>
      <c r="I53" s="254">
        <f>+'Cash-Flow-2018-Leva'!I53/1000</f>
        <v>46.615</v>
      </c>
      <c r="J53" s="244">
        <f>+'Cash-Flow-2018-Leva'!J53/1000</f>
        <v>17.524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335.3</v>
      </c>
      <c r="P53" s="376">
        <f t="shared" si="5"/>
        <v>1408.0410000000002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26.102</v>
      </c>
      <c r="G54" s="283">
        <f>+'Cash-Flow-2018-Leva'!G54/1000</f>
        <v>27.469</v>
      </c>
      <c r="H54" s="293"/>
      <c r="I54" s="284">
        <f>+'Cash-Flow-2018-Leva'!I54/1000</f>
        <v>0.173</v>
      </c>
      <c r="J54" s="283">
        <f>+'Cash-Flow-2018-Leva'!J54/1000</f>
        <v>0.746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26.275</v>
      </c>
      <c r="P54" s="401">
        <f t="shared" si="5"/>
        <v>28.215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62.8</v>
      </c>
      <c r="G55" s="283">
        <f>+'Cash-Flow-2018-Leva'!G55/1000</f>
        <v>83.606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62.8</v>
      </c>
      <c r="P55" s="401">
        <f t="shared" si="5"/>
        <v>83.606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2871.373</v>
      </c>
      <c r="G56" s="283">
        <f>+'Cash-Flow-2018-Leva'!G56/1000</f>
        <v>12118.978</v>
      </c>
      <c r="H56" s="293"/>
      <c r="I56" s="284">
        <f>+'Cash-Flow-2018-Leva'!I56/1000</f>
        <v>19.732</v>
      </c>
      <c r="J56" s="283">
        <f>+'Cash-Flow-2018-Leva'!J56/1000</f>
        <v>0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2891.105</v>
      </c>
      <c r="P56" s="401">
        <f t="shared" si="5"/>
        <v>12118.978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406.74</v>
      </c>
      <c r="G57" s="283">
        <f>+'Cash-Flow-2018-Leva'!G57/1000</f>
        <v>1927.573</v>
      </c>
      <c r="H57" s="293"/>
      <c r="I57" s="284">
        <f>+'Cash-Flow-2018-Leva'!I57/1000</f>
        <v>1.964</v>
      </c>
      <c r="J57" s="283">
        <f>+'Cash-Flow-2018-Leva'!J57/1000</f>
        <v>0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408.704</v>
      </c>
      <c r="P57" s="401">
        <f t="shared" si="5"/>
        <v>1927.573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3655.7</v>
      </c>
      <c r="G58" s="277">
        <f>+SUM(G53:G57)</f>
        <v>15548.143</v>
      </c>
      <c r="H58" s="293"/>
      <c r="I58" s="278">
        <f>+SUM(I53:I57)</f>
        <v>68.48400000000001</v>
      </c>
      <c r="J58" s="277">
        <f>+SUM(J53:J57)</f>
        <v>18.27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3724.184</v>
      </c>
      <c r="P58" s="399">
        <f>+SUM(P53:P57)</f>
        <v>15566.413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0.598</v>
      </c>
      <c r="G61" s="283">
        <f>+'Cash-Flow-2018-Leva'!G61/1000</f>
        <v>167.471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0.598</v>
      </c>
      <c r="P61" s="401">
        <f t="shared" si="6"/>
        <v>167.471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0.138</v>
      </c>
      <c r="G62" s="283">
        <f>+'Cash-Flow-2018-Leva'!G62/1000</f>
        <v>295.72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0.138</v>
      </c>
      <c r="P62" s="401">
        <f t="shared" si="6"/>
        <v>295.72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0.736</v>
      </c>
      <c r="G65" s="277">
        <f>+SUM(G60:G63)</f>
        <v>463.19100000000003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0.736</v>
      </c>
      <c r="P65" s="399">
        <f>+SUM(P60:P63)</f>
        <v>463.19100000000003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0</v>
      </c>
      <c r="G71" s="244">
        <f>+'Cash-Flow-2018-Leva'!G71/1000</f>
        <v>0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0</v>
      </c>
      <c r="P71" s="376">
        <f>+G71+J71+M71</f>
        <v>0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0</v>
      </c>
      <c r="G73" s="277">
        <f>+SUM(G71:G72)</f>
        <v>0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0</v>
      </c>
      <c r="P73" s="399">
        <f>+SUM(P71:P72)</f>
        <v>0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3656.4359999999997</v>
      </c>
      <c r="G79" s="288">
        <f>+G58+G65+G69+G73+G77</f>
        <v>16011.334</v>
      </c>
      <c r="H79" s="293"/>
      <c r="I79" s="285">
        <f>+I58+I65+I69+I73+I77</f>
        <v>68.48400000000001</v>
      </c>
      <c r="J79" s="288">
        <f>+J58+J65+J69+J73+J77</f>
        <v>18.27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3724.92</v>
      </c>
      <c r="P79" s="409">
        <f>+P58+P65+P69+P73+P77</f>
        <v>16029.604000000001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3636.094</v>
      </c>
      <c r="G81" s="271">
        <f>+'Cash-Flow-2018-Leva'!G81/1000</f>
        <v>15944.546</v>
      </c>
      <c r="H81" s="293"/>
      <c r="I81" s="272">
        <f>+'Cash-Flow-2018-Leva'!I81/1000</f>
        <v>0</v>
      </c>
      <c r="J81" s="271">
        <f>+'Cash-Flow-2018-Leva'!J81/1000</f>
        <v>18.27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3636.094</v>
      </c>
      <c r="P81" s="395">
        <f>+G81+J81+M81</f>
        <v>15962.816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3636.094</v>
      </c>
      <c r="G83" s="286">
        <f>+G81+G82</f>
        <v>15944.546</v>
      </c>
      <c r="H83" s="293"/>
      <c r="I83" s="287">
        <f>+I81+I82</f>
        <v>0</v>
      </c>
      <c r="J83" s="286">
        <f>+J81+J82</f>
        <v>18.27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3636.094</v>
      </c>
      <c r="P83" s="404">
        <f>+P81+P82</f>
        <v>15962.816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-13.310999999999694</v>
      </c>
      <c r="G85" s="307">
        <f>+G50-G79+G83</f>
        <v>0</v>
      </c>
      <c r="H85" s="293"/>
      <c r="I85" s="308">
        <f>+I50-I79+I83</f>
        <v>1374.6960000000001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1361.3850000000002</v>
      </c>
      <c r="P85" s="406">
        <f>+P50-P79+P83</f>
        <v>0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13.310999999999922</v>
      </c>
      <c r="G86" s="309">
        <f>+G103+G122+G129-G134</f>
        <v>0</v>
      </c>
      <c r="H86" s="293"/>
      <c r="I86" s="310">
        <f>+I103+I122+I129-I134</f>
        <v>-1374.696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-1361.3850000000002</v>
      </c>
      <c r="P86" s="408">
        <f>+P103+P122+P129-P134</f>
        <v>0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0</v>
      </c>
      <c r="G103" s="273">
        <f>+G91+G97+G101</f>
        <v>0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0</v>
      </c>
      <c r="P103" s="397">
        <f>+P91+P97+P101</f>
        <v>0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-6.103</v>
      </c>
      <c r="M118" s="244">
        <f>+'Cash-Flow-2018-Leva'!M118/1000</f>
        <v>8.794</v>
      </c>
      <c r="N118" s="483"/>
      <c r="O118" s="383">
        <f>+F118+I118+L118</f>
        <v>-6.103</v>
      </c>
      <c r="P118" s="376">
        <f>+G118+J118+M118</f>
        <v>8.794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-6.103</v>
      </c>
      <c r="M120" s="277">
        <f>+SUM(M118:M119)</f>
        <v>8.794</v>
      </c>
      <c r="N120" s="483"/>
      <c r="O120" s="398">
        <f>+SUM(O118:O119)</f>
        <v>-6.103</v>
      </c>
      <c r="P120" s="399">
        <f>+SUM(P118:P119)</f>
        <v>8.794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-6.103</v>
      </c>
      <c r="M122" s="288">
        <f>+M108+M112+M116+M120</f>
        <v>8.794</v>
      </c>
      <c r="N122" s="483"/>
      <c r="O122" s="402">
        <f>+O108+O112+O116+O120</f>
        <v>-6.103</v>
      </c>
      <c r="P122" s="409">
        <f>+P108+P112+P116+P120</f>
        <v>8.794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1374.696</v>
      </c>
      <c r="G125" s="283">
        <f>+'Cash-Flow-2018-Leva'!G125/1000</f>
        <v>0</v>
      </c>
      <c r="H125" s="293"/>
      <c r="I125" s="284">
        <f>+'Cash-Flow-2018-Leva'!I125/1000</f>
        <v>-1374.696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0</v>
      </c>
      <c r="P125" s="401">
        <f t="shared" si="8"/>
        <v>0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0</v>
      </c>
      <c r="G126" s="283">
        <f>+'Cash-Flow-2018-Leva'!G126/1000</f>
        <v>0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1374.696</v>
      </c>
      <c r="G129" s="286">
        <f>+SUM(G124,G125,G126,G128)</f>
        <v>0</v>
      </c>
      <c r="H129" s="293"/>
      <c r="I129" s="287">
        <f>+SUM(I124,I125,I126,I128)</f>
        <v>-1374.696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0</v>
      </c>
      <c r="G131" s="271">
        <f>+'Cash-Flow-2018-Leva'!G131/1000</f>
        <v>0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28.389</v>
      </c>
      <c r="M131" s="271">
        <f>+'Cash-Flow-2018-Leva'!M131/1000</f>
        <v>19.595</v>
      </c>
      <c r="N131" s="483"/>
      <c r="O131" s="382">
        <f aca="true" t="shared" si="9" ref="O131:P133">+F131+I131+L131</f>
        <v>28.389</v>
      </c>
      <c r="P131" s="395">
        <f t="shared" si="9"/>
        <v>19.595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1361.385</v>
      </c>
      <c r="G133" s="283">
        <f>+'Cash-Flow-2018-Leva'!G133/1000</f>
        <v>0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22.286</v>
      </c>
      <c r="M133" s="283">
        <f>+'Cash-Flow-2018-Leva'!M133/1000</f>
        <v>28.389</v>
      </c>
      <c r="N133" s="483"/>
      <c r="O133" s="378">
        <f t="shared" si="9"/>
        <v>1383.671</v>
      </c>
      <c r="P133" s="401">
        <f t="shared" si="9"/>
        <v>28.389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1361.385</v>
      </c>
      <c r="G134" s="291">
        <f>+G133-G131-G132</f>
        <v>0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-6.102999999999998</v>
      </c>
      <c r="M134" s="291">
        <f>+M133-M131-M132</f>
        <v>8.794</v>
      </c>
      <c r="N134" s="483"/>
      <c r="O134" s="411">
        <f>+O133-O131-O132</f>
        <v>1355.2820000000002</v>
      </c>
      <c r="P134" s="412">
        <f>+P133-P131-P132</f>
        <v>8.794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23042018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 </cp:lastModifiedBy>
  <cp:lastPrinted>2018-01-03T17:05:49Z</cp:lastPrinted>
  <dcterms:created xsi:type="dcterms:W3CDTF">2015-12-01T07:17:04Z</dcterms:created>
  <dcterms:modified xsi:type="dcterms:W3CDTF">2018-04-20T10:01:02Z</dcterms:modified>
  <cp:category/>
  <cp:version/>
  <cp:contentType/>
  <cp:contentStatus/>
</cp:coreProperties>
</file>